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605" windowHeight="895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<sst xmlns="http://schemas.openxmlformats.org/spreadsheetml/2006/main" count="166" uniqueCount="68">
  <si>
    <t xml:space="preserve"> </t>
  </si>
  <si>
    <t>120 deg</t>
  </si>
  <si>
    <t xml:space="preserve">   50 ohm coax </t>
  </si>
  <si>
    <t>Rope</t>
  </si>
  <si>
    <t xml:space="preserve">    Insulator</t>
  </si>
  <si>
    <t>Wire Length</t>
  </si>
  <si>
    <t xml:space="preserve"> Y or N</t>
  </si>
  <si>
    <t>Half wave</t>
  </si>
  <si>
    <t>n</t>
  </si>
  <si>
    <t>Mhz</t>
  </si>
  <si>
    <t>SWR</t>
  </si>
  <si>
    <t xml:space="preserve"> feet =</t>
  </si>
  <si>
    <t>METERS</t>
  </si>
  <si>
    <t xml:space="preserve">Convert to meters  </t>
  </si>
  <si>
    <t>http://www.balundesigns.com</t>
  </si>
  <si>
    <t>Length</t>
  </si>
  <si>
    <t>Center Freq.</t>
  </si>
  <si>
    <t>No. of Odd or Even</t>
  </si>
  <si>
    <t xml:space="preserve">    Half Waves</t>
  </si>
  <si>
    <t xml:space="preserve"> =</t>
  </si>
  <si>
    <t>OCFD Total Wire Length in</t>
  </si>
  <si>
    <t xml:space="preserve">Insulator        </t>
  </si>
  <si>
    <t xml:space="preserve"> feet above ground</t>
  </si>
  <si>
    <t xml:space="preserve"> ( 1 ) Poor, ( 2 ) Normal,  ( 3 ) Excellent</t>
  </si>
  <si>
    <t xml:space="preserve">Useable    </t>
  </si>
  <si>
    <t xml:space="preserve">          4 :1 Balun</t>
  </si>
  <si>
    <t xml:space="preserve">4) No Antenna Tuner is needed on the bands were the SWR is under 1.8:1  </t>
  </si>
  <si>
    <t xml:space="preserve"> Frequency</t>
  </si>
  <si>
    <t xml:space="preserve">  </t>
  </si>
  <si>
    <t xml:space="preserve">     Off Center Fed Dipole  ( OCFD )  No Tuner Needed</t>
  </si>
  <si>
    <t xml:space="preserve">Highest Part of your OCFD will be installed ? </t>
  </si>
  <si>
    <t xml:space="preserve">Your Area Ground Conductivity Condition </t>
  </si>
  <si>
    <t xml:space="preserve">And Enter The OCFD Feed Point Offset </t>
  </si>
  <si>
    <t>long side</t>
  </si>
  <si>
    <t>short side  and</t>
  </si>
  <si>
    <t>Use #14 or #12  solid or stranded Wire</t>
  </si>
  <si>
    <t xml:space="preserve">        Enter 1 for Bare Wire or 2 for insulated Wire </t>
  </si>
  <si>
    <t>KK1CW WALT  6/3/2009</t>
  </si>
  <si>
    <t xml:space="preserve">old length </t>
  </si>
  <si>
    <r>
      <t xml:space="preserve">inches </t>
    </r>
    <r>
      <rPr>
        <b/>
        <u val="single"/>
        <sz val="10"/>
        <rFont val="Arial"/>
        <family val="2"/>
      </rPr>
      <t>your new length</t>
    </r>
    <r>
      <rPr>
        <b/>
        <sz val="10"/>
        <rFont val="Arial"/>
        <family val="2"/>
      </rPr>
      <t xml:space="preserve"> </t>
    </r>
  </si>
  <si>
    <t>Enter Your Design frequency</t>
  </si>
  <si>
    <r>
      <t>Mhz</t>
    </r>
    <r>
      <rPr>
        <b/>
        <sz val="10"/>
        <color indexed="10"/>
        <rFont val="Arial"/>
        <family val="2"/>
      </rPr>
      <t xml:space="preserve">  See how it relates directly back to the design frequency.</t>
    </r>
  </si>
  <si>
    <t xml:space="preserve"> 4:1 balun  @  200 ohms feed point</t>
  </si>
  <si>
    <t>1) Use a  4:1 Current Balun at the feed point. Make sure that the current Balun that you use will handle your transmit power.</t>
  </si>
  <si>
    <r>
      <t xml:space="preserve">5) For best results for </t>
    </r>
    <r>
      <rPr>
        <b/>
        <u val="single"/>
        <sz val="10"/>
        <rFont val="Arial"/>
        <family val="2"/>
      </rPr>
      <t>horizontal and vertical DX signals</t>
    </r>
    <r>
      <rPr>
        <b/>
        <sz val="10"/>
        <rFont val="Arial"/>
        <family val="2"/>
      </rPr>
      <t xml:space="preserve"> use the antenna drawing configuration above.</t>
    </r>
  </si>
  <si>
    <t>6) You can get good 4:1 current balun from</t>
  </si>
  <si>
    <t>ADJ</t>
  </si>
  <si>
    <t xml:space="preserve">Best </t>
  </si>
  <si>
    <t>7) The antenna will radiate broadside on the design frequency and down the half waves on the higher frequencies.</t>
  </si>
  <si>
    <r>
      <t>Design Freq. antenna length adj.</t>
    </r>
    <r>
      <rPr>
        <b/>
        <sz val="10"/>
        <rFont val="Arial"/>
        <family val="2"/>
      </rPr>
      <t xml:space="preserve"> Enter the freq. around the design freq. that has the lowest SWR</t>
    </r>
  </si>
  <si>
    <t>Make ADJ. to antenna length</t>
  </si>
  <si>
    <t>Design Freq</t>
  </si>
  <si>
    <t xml:space="preserve">All below 1.8:1 vswr at 28.9% offset for 200 ohms impedance   </t>
  </si>
  <si>
    <t>200 ohms feed point</t>
  </si>
  <si>
    <t>(sample 28.9% ) see chart</t>
  </si>
  <si>
    <t>ON4AA</t>
  </si>
  <si>
    <t>Next Check the useable Bands Odd and Even Harmonics frequencies make adjustments to the design freq.</t>
  </si>
  <si>
    <r>
      <t xml:space="preserve">Complete OCFD Usable Antenna Band SWR for your records:  </t>
    </r>
    <r>
      <rPr>
        <b/>
        <sz val="10"/>
        <rFont val="Arial"/>
        <family val="2"/>
      </rPr>
      <t xml:space="preserve"> Enter your SWR Data in yellow input boxes below</t>
    </r>
  </si>
  <si>
    <r>
      <t>The OCFD Antenna design frequency</t>
    </r>
    <r>
      <rPr>
        <b/>
        <i/>
        <sz val="10"/>
        <rFont val="Arial"/>
        <family val="2"/>
      </rPr>
      <t xml:space="preserve"> ( from the lowest band ) will change the useable band's odd or even harmonic</t>
    </r>
  </si>
  <si>
    <t>frequencies for each band. Sample: design freq. 3.56 mhz = useable bands (80, 40, 20, 17, 15, 10, &amp; 6)</t>
  </si>
  <si>
    <t>OCFD we can increase the feedpoint impedance without upsetting the current distribution or antenna pattern.</t>
  </si>
  <si>
    <t>For a 4.1 current balun we need an offset feedpoint of 200 ohms from the center of the half wave.  (See Chart)</t>
  </si>
  <si>
    <t xml:space="preserve">Straight two-wire dipole impedance = 70 ohms at the center and 50 ohms or less for a inverted V dipole. </t>
  </si>
  <si>
    <t xml:space="preserve">Remember, impedance repeats its self at every 1/2 wave length. By offsetting the feedpoint from the center of a </t>
  </si>
  <si>
    <t xml:space="preserve"> ( 20 % - 33.3 % ) ( Best Off Set for 4:1 Balun 28.9%)</t>
  </si>
  <si>
    <t xml:space="preserve">2) Use a good copper ( Insulated #14 or #12 THHN stranded or solid bare) antenna wire for this antenna. </t>
  </si>
  <si>
    <t>3) Check SWR without a tuner. Complete yellow Antenna Test boxes Below when complete / make adjustments where needed.</t>
  </si>
  <si>
    <t>rev. 12/22/2013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</si>
</sst>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\ ???/???"/>
    <numFmt numFmtId="168" formatCode="0.000"/>
    <numFmt numFmtId="169" formatCode="0.000000000000"/>
    <numFmt numFmtId="170" formatCode="0.0"/>
    <numFmt numFmtId="171" formatCode="0.00;[Red]0.00"/>
    <numFmt numFmtId="172" formatCode="0.0%"/>
    <numFmt numFmtId="173" formatCode="0.0\ \f\t"/>
    <numFmt numFmtId="174" formatCode="0_);\(0\)"/>
    <numFmt numFmtId="175" formatCode="0.00\ \f\t"/>
    <numFmt numFmtId="176" formatCode="0.0000000000000"/>
    <numFmt numFmtId="177" formatCode="0.000\ \f\t"/>
    <numFmt numFmtId="178" formatCode="0.000%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.25"/>
      <name val="Arial"/>
      <family val="0"/>
    </font>
    <font>
      <sz val="11.7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3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i/>
      <u val="single"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inden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8" fontId="3" fillId="0" borderId="0" xfId="0" applyNumberFormat="1" applyFont="1" applyAlignment="1" applyProtection="1">
      <alignment horizontal="right"/>
      <protection/>
    </xf>
    <xf numFmtId="168" fontId="6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168" fontId="11" fillId="0" borderId="0" xfId="0" applyNumberFormat="1" applyFont="1" applyAlignment="1" applyProtection="1">
      <alignment horizontal="right"/>
      <protection/>
    </xf>
    <xf numFmtId="2" fontId="6" fillId="0" borderId="0" xfId="0" applyNumberFormat="1" applyFont="1" applyAlignment="1" applyProtection="1">
      <alignment/>
      <protection/>
    </xf>
    <xf numFmtId="168" fontId="11" fillId="0" borderId="0" xfId="0" applyNumberFormat="1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center"/>
      <protection locked="0"/>
    </xf>
    <xf numFmtId="170" fontId="3" fillId="0" borderId="1" xfId="0" applyNumberFormat="1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left"/>
      <protection/>
    </xf>
    <xf numFmtId="0" fontId="3" fillId="0" borderId="5" xfId="0" applyFont="1" applyFill="1" applyBorder="1" applyAlignment="1" applyProtection="1">
      <alignment/>
      <protection/>
    </xf>
    <xf numFmtId="0" fontId="2" fillId="0" borderId="5" xfId="0" applyFont="1" applyBorder="1" applyAlignment="1" applyProtection="1">
      <alignment horizontal="right"/>
      <protection/>
    </xf>
    <xf numFmtId="2" fontId="2" fillId="0" borderId="5" xfId="0" applyNumberFormat="1" applyFont="1" applyFill="1" applyBorder="1" applyAlignment="1" applyProtection="1" quotePrefix="1">
      <alignment horizontal="left"/>
      <protection/>
    </xf>
    <xf numFmtId="0" fontId="11" fillId="0" borderId="5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172" fontId="6" fillId="0" borderId="0" xfId="0" applyNumberFormat="1" applyFont="1" applyFill="1" applyBorder="1" applyAlignment="1" applyProtection="1">
      <alignment horizontal="center"/>
      <protection/>
    </xf>
    <xf numFmtId="172" fontId="11" fillId="2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68" fontId="2" fillId="2" borderId="2" xfId="0" applyNumberFormat="1" applyFont="1" applyFill="1" applyBorder="1" applyAlignment="1" applyProtection="1">
      <alignment horizontal="center"/>
      <protection locked="0"/>
    </xf>
    <xf numFmtId="170" fontId="2" fillId="2" borderId="7" xfId="0" applyNumberFormat="1" applyFont="1" applyFill="1" applyBorder="1" applyAlignment="1" applyProtection="1">
      <alignment horizontal="center"/>
      <protection locked="0"/>
    </xf>
    <xf numFmtId="168" fontId="11" fillId="2" borderId="8" xfId="0" applyNumberFormat="1" applyFont="1" applyFill="1" applyBorder="1" applyAlignment="1" applyProtection="1">
      <alignment horizontal="center"/>
      <protection locked="0"/>
    </xf>
    <xf numFmtId="168" fontId="11" fillId="2" borderId="9" xfId="0" applyNumberFormat="1" applyFont="1" applyFill="1" applyBorder="1" applyAlignment="1" applyProtection="1">
      <alignment horizontal="center"/>
      <protection locked="0"/>
    </xf>
    <xf numFmtId="170" fontId="2" fillId="2" borderId="10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170" fontId="2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 applyProtection="1">
      <alignment horizontal="center"/>
      <protection/>
    </xf>
    <xf numFmtId="172" fontId="11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left" indent="1"/>
      <protection/>
    </xf>
    <xf numFmtId="2" fontId="14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14" fillId="0" borderId="1" xfId="0" applyFont="1" applyBorder="1" applyAlignment="1" applyProtection="1">
      <alignment horizontal="left" indent="1"/>
      <protection/>
    </xf>
    <xf numFmtId="0" fontId="14" fillId="0" borderId="1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177" fontId="11" fillId="0" borderId="0" xfId="0" applyNumberFormat="1" applyFont="1" applyAlignment="1" applyProtection="1">
      <alignment horizontal="center"/>
      <protection/>
    </xf>
    <xf numFmtId="168" fontId="2" fillId="0" borderId="0" xfId="0" applyNumberFormat="1" applyFont="1" applyBorder="1" applyAlignment="1" applyProtection="1">
      <alignment horizontal="right"/>
      <protection/>
    </xf>
    <xf numFmtId="2" fontId="11" fillId="0" borderId="13" xfId="0" applyNumberFormat="1" applyFont="1" applyBorder="1" applyAlignment="1" applyProtection="1">
      <alignment horizontal="left"/>
      <protection/>
    </xf>
    <xf numFmtId="170" fontId="11" fillId="0" borderId="0" xfId="0" applyNumberFormat="1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168" fontId="17" fillId="0" borderId="0" xfId="0" applyNumberFormat="1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168" fontId="17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2" fillId="0" borderId="5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2" fontId="14" fillId="0" borderId="0" xfId="0" applyNumberFormat="1" applyFont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168" fontId="11" fillId="0" borderId="0" xfId="0" applyNumberFormat="1" applyFont="1" applyFill="1" applyBorder="1" applyAlignment="1" applyProtection="1">
      <alignment/>
      <protection/>
    </xf>
    <xf numFmtId="168" fontId="11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2" fontId="6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11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178" fontId="2" fillId="0" borderId="0" xfId="0" applyNumberFormat="1" applyFont="1" applyAlignment="1" applyProtection="1">
      <alignment horizontal="center"/>
      <protection/>
    </xf>
    <xf numFmtId="0" fontId="21" fillId="0" borderId="0" xfId="19" applyFont="1" applyAlignment="1" applyProtection="1">
      <alignment/>
      <protection/>
    </xf>
    <xf numFmtId="0" fontId="10" fillId="0" borderId="0" xfId="19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3" xfId="0" applyFont="1" applyFill="1" applyBorder="1" applyAlignment="1" applyProtection="1">
      <alignment horizontal="center"/>
      <protection/>
    </xf>
    <xf numFmtId="170" fontId="2" fillId="0" borderId="0" xfId="0" applyNumberFormat="1" applyFont="1" applyAlignment="1" applyProtection="1">
      <alignment/>
      <protection/>
    </xf>
    <xf numFmtId="175" fontId="12" fillId="0" borderId="0" xfId="0" applyNumberFormat="1" applyFont="1" applyAlignment="1" applyProtection="1">
      <alignment horizontal="center"/>
      <protection/>
    </xf>
    <xf numFmtId="173" fontId="12" fillId="0" borderId="0" xfId="0" applyNumberFormat="1" applyFont="1" applyAlignment="1" applyProtection="1">
      <alignment/>
      <protection/>
    </xf>
    <xf numFmtId="175" fontId="12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5" fontId="2" fillId="0" borderId="0" xfId="0" applyNumberFormat="1" applyFont="1" applyAlignment="1" applyProtection="1">
      <alignment horizontal="center"/>
      <protection/>
    </xf>
    <xf numFmtId="173" fontId="2" fillId="0" borderId="0" xfId="0" applyNumberFormat="1" applyFont="1" applyAlignment="1" applyProtection="1">
      <alignment/>
      <protection/>
    </xf>
    <xf numFmtId="175" fontId="2" fillId="0" borderId="0" xfId="0" applyNumberFormat="1" applyFont="1" applyAlignment="1" applyProtection="1">
      <alignment/>
      <protection/>
    </xf>
    <xf numFmtId="0" fontId="22" fillId="0" borderId="14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left"/>
      <protection/>
    </xf>
    <xf numFmtId="168" fontId="11" fillId="0" borderId="13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right"/>
      <protection/>
    </xf>
    <xf numFmtId="168" fontId="18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8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168" fontId="1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170" fontId="0" fillId="0" borderId="0" xfId="0" applyNumberFormat="1" applyFont="1" applyAlignment="1" applyProtection="1">
      <alignment/>
      <protection/>
    </xf>
    <xf numFmtId="175" fontId="0" fillId="0" borderId="0" xfId="0" applyNumberFormat="1" applyFont="1" applyAlignment="1" applyProtection="1">
      <alignment horizontal="center"/>
      <protection/>
    </xf>
    <xf numFmtId="173" fontId="0" fillId="0" borderId="0" xfId="0" applyNumberFormat="1" applyFon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168" fontId="2" fillId="2" borderId="3" xfId="0" applyNumberFormat="1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625"/>
          <c:y val="0.03225"/>
          <c:w val="0.90275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Sheet1!$C$46</c:f>
              <c:strCache>
                <c:ptCount val="1"/>
                <c:pt idx="0">
                  <c:v>SWR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Sheet1!$B$47:$B$56</c:f>
              <c:strCache/>
            </c:strRef>
          </c:cat>
          <c:val>
            <c:numRef>
              <c:f>Sheet1!$C$47:$C$56</c:f>
              <c:numCache/>
            </c:numRef>
          </c:val>
        </c:ser>
        <c:ser>
          <c:idx val="1"/>
          <c:order val="1"/>
          <c:tx>
            <c:strRef>
              <c:f>Sheet1!$D$46</c:f>
              <c:strCache>
                <c:ptCount val="1"/>
                <c:pt idx="0">
                  <c:v>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Sheet1!$B$47:$B$56</c:f>
              <c:strCache/>
            </c:strRef>
          </c:cat>
          <c:val>
            <c:numRef>
              <c:f>Sheet1!$D$47:$D$56</c:f>
              <c:numCache/>
            </c:numRef>
          </c:val>
        </c:ser>
        <c:ser>
          <c:idx val="2"/>
          <c:order val="2"/>
          <c:tx>
            <c:strRef>
              <c:f>Sheet1!$E$46</c:f>
              <c:strCache>
                <c:ptCount val="1"/>
                <c:pt idx="0">
                  <c:v>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Sheet1!$B$47:$B$56</c:f>
              <c:strCache/>
            </c:strRef>
          </c:cat>
          <c:val>
            <c:numRef>
              <c:f>Sheet1!$E$47:$E$56</c:f>
              <c:numCache/>
            </c:numRef>
          </c:val>
        </c:ser>
        <c:ser>
          <c:idx val="3"/>
          <c:order val="3"/>
          <c:tx>
            <c:strRef>
              <c:f>Sheet1!$F$46</c:f>
              <c:strCache>
                <c:ptCount val="1"/>
                <c:pt idx="0">
                  <c:v>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Sheet1!$B$47:$B$56</c:f>
              <c:strCache/>
            </c:strRef>
          </c:cat>
          <c:val>
            <c:numRef>
              <c:f>Sheet1!$F$47:$F$56</c:f>
              <c:numCache/>
            </c:numRef>
          </c:val>
        </c:ser>
        <c:ser>
          <c:idx val="4"/>
          <c:order val="4"/>
          <c:tx>
            <c:strRef>
              <c:f>Sheet1!$G$46</c:f>
              <c:strCache>
                <c:ptCount val="1"/>
                <c:pt idx="0">
                  <c:v>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Sheet1!$B$47:$B$56</c:f>
              <c:strCache/>
            </c:strRef>
          </c:cat>
          <c:val>
            <c:numRef>
              <c:f>Sheet1!$G$47:$G$56</c:f>
              <c:numCache/>
            </c:numRef>
          </c:val>
        </c:ser>
        <c:ser>
          <c:idx val="5"/>
          <c:order val="5"/>
          <c:tx>
            <c:strRef>
              <c:f>Sheet1!$H$46</c:f>
              <c:strCache>
                <c:ptCount val="1"/>
                <c:pt idx="0">
                  <c:v>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Sheet1!$B$47:$B$56</c:f>
              <c:strCache/>
            </c:strRef>
          </c:cat>
          <c:val>
            <c:numRef>
              <c:f>Sheet1!$H$47:$H$56</c:f>
              <c:numCache/>
            </c:numRef>
          </c:val>
        </c:ser>
        <c:ser>
          <c:idx val="6"/>
          <c:order val="6"/>
          <c:tx>
            <c:strRef>
              <c:f>Sheet1!$I$46</c:f>
              <c:strCache>
                <c:ptCount val="1"/>
                <c:pt idx="0">
                  <c:v>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Sheet1!$B$47:$B$56</c:f>
              <c:strCache/>
            </c:strRef>
          </c:cat>
          <c:val>
            <c:numRef>
              <c:f>Sheet1!$I$47:$I$56</c:f>
              <c:numCache/>
            </c:numRef>
          </c:val>
        </c:ser>
        <c:ser>
          <c:idx val="7"/>
          <c:order val="7"/>
          <c:tx>
            <c:strRef>
              <c:f>Sheet1!$J$46</c:f>
              <c:strCache>
                <c:ptCount val="1"/>
                <c:pt idx="0">
                  <c:v>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Sheet1!$B$47:$B$56</c:f>
              <c:strCache/>
            </c:strRef>
          </c:cat>
          <c:val>
            <c:numRef>
              <c:f>Sheet1!$J$47:$J$56</c:f>
              <c:numCache/>
            </c:numRef>
          </c:val>
        </c:ser>
        <c:ser>
          <c:idx val="8"/>
          <c:order val="8"/>
          <c:tx>
            <c:strRef>
              <c:f>Sheet1!$K$46</c:f>
              <c:strCache>
                <c:ptCount val="1"/>
                <c:pt idx="0">
                  <c:v>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Sheet1!$B$47:$B$56</c:f>
              <c:strCache/>
            </c:strRef>
          </c:cat>
          <c:val>
            <c:numRef>
              <c:f>Sheet1!$K$47:$K$56</c:f>
              <c:numCache/>
            </c:numRef>
          </c:val>
        </c:ser>
        <c:ser>
          <c:idx val="9"/>
          <c:order val="9"/>
          <c:tx>
            <c:strRef>
              <c:f>Sheet1!$L$46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Sheet1!$B$47:$B$56</c:f>
              <c:strCache/>
            </c:strRef>
          </c:cat>
          <c:val>
            <c:numRef>
              <c:f>Sheet1!$L$47:$L$56</c:f>
              <c:numCache/>
            </c:numRef>
          </c:val>
        </c:ser>
        <c:axId val="54767070"/>
        <c:axId val="23141583"/>
      </c:barChart>
      <c:catAx>
        <c:axId val="5476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41583"/>
        <c:crosses val="autoZero"/>
        <c:auto val="1"/>
        <c:lblOffset val="100"/>
        <c:noMultiLvlLbl val="0"/>
      </c:catAx>
      <c:valAx>
        <c:axId val="23141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6707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FFFF99"/>
          </a:solidFill>
        </a:ln>
      </c:spPr>
    </c:plotArea>
    <c:legend>
      <c:legendPos val="r"/>
      <c:layout>
        <c:manualLayout>
          <c:xMode val="edge"/>
          <c:yMode val="edge"/>
          <c:x val="0.17675"/>
          <c:y val="0.00525"/>
          <c:w val="0.1285"/>
          <c:h val="0.08775"/>
        </c:manualLayout>
      </c:layout>
      <c:overlay val="0"/>
      <c:spPr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19</xdr:row>
      <xdr:rowOff>0</xdr:rowOff>
    </xdr:from>
    <xdr:to>
      <xdr:col>6</xdr:col>
      <xdr:colOff>0</xdr:colOff>
      <xdr:row>26</xdr:row>
      <xdr:rowOff>114300</xdr:rowOff>
    </xdr:to>
    <xdr:sp>
      <xdr:nvSpPr>
        <xdr:cNvPr id="1" name="Line 2"/>
        <xdr:cNvSpPr>
          <a:spLocks/>
        </xdr:cNvSpPr>
      </xdr:nvSpPr>
      <xdr:spPr>
        <a:xfrm flipH="1">
          <a:off x="2066925" y="3114675"/>
          <a:ext cx="1562100" cy="1247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19</xdr:row>
      <xdr:rowOff>0</xdr:rowOff>
    </xdr:from>
    <xdr:to>
      <xdr:col>13</xdr:col>
      <xdr:colOff>0</xdr:colOff>
      <xdr:row>26</xdr:row>
      <xdr:rowOff>142875</xdr:rowOff>
    </xdr:to>
    <xdr:sp>
      <xdr:nvSpPr>
        <xdr:cNvPr id="2" name="Line 3"/>
        <xdr:cNvSpPr>
          <a:spLocks/>
        </xdr:cNvSpPr>
      </xdr:nvSpPr>
      <xdr:spPr>
        <a:xfrm>
          <a:off x="3733800" y="3114675"/>
          <a:ext cx="4162425" cy="1276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18</xdr:row>
      <xdr:rowOff>123825</xdr:rowOff>
    </xdr:from>
    <xdr:to>
      <xdr:col>7</xdr:col>
      <xdr:colOff>57150</xdr:colOff>
      <xdr:row>19</xdr:row>
      <xdr:rowOff>38100</xdr:rowOff>
    </xdr:to>
    <xdr:sp>
      <xdr:nvSpPr>
        <xdr:cNvPr id="3" name="Oval 4"/>
        <xdr:cNvSpPr>
          <a:spLocks/>
        </xdr:cNvSpPr>
      </xdr:nvSpPr>
      <xdr:spPr>
        <a:xfrm>
          <a:off x="3543300" y="3076575"/>
          <a:ext cx="3238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28575</xdr:rowOff>
    </xdr:from>
    <xdr:to>
      <xdr:col>6</xdr:col>
      <xdr:colOff>95250</xdr:colOff>
      <xdr:row>26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3676650" y="3143250"/>
          <a:ext cx="4762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21</xdr:row>
      <xdr:rowOff>85725</xdr:rowOff>
    </xdr:from>
    <xdr:to>
      <xdr:col>5</xdr:col>
      <xdr:colOff>571500</xdr:colOff>
      <xdr:row>21</xdr:row>
      <xdr:rowOff>85725</xdr:rowOff>
    </xdr:to>
    <xdr:sp>
      <xdr:nvSpPr>
        <xdr:cNvPr id="5" name="Line 6"/>
        <xdr:cNvSpPr>
          <a:spLocks/>
        </xdr:cNvSpPr>
      </xdr:nvSpPr>
      <xdr:spPr>
        <a:xfrm flipH="1">
          <a:off x="3248025" y="3524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21</xdr:row>
      <xdr:rowOff>95250</xdr:rowOff>
    </xdr:from>
    <xdr:to>
      <xdr:col>8</xdr:col>
      <xdr:colOff>342900</xdr:colOff>
      <xdr:row>21</xdr:row>
      <xdr:rowOff>95250</xdr:rowOff>
    </xdr:to>
    <xdr:sp>
      <xdr:nvSpPr>
        <xdr:cNvPr id="6" name="Line 7"/>
        <xdr:cNvSpPr>
          <a:spLocks/>
        </xdr:cNvSpPr>
      </xdr:nvSpPr>
      <xdr:spPr>
        <a:xfrm>
          <a:off x="4333875" y="3533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26</xdr:row>
      <xdr:rowOff>114300</xdr:rowOff>
    </xdr:from>
    <xdr:to>
      <xdr:col>3</xdr:col>
      <xdr:colOff>304800</xdr:colOff>
      <xdr:row>27</xdr:row>
      <xdr:rowOff>28575</xdr:rowOff>
    </xdr:to>
    <xdr:sp>
      <xdr:nvSpPr>
        <xdr:cNvPr id="7" name="Oval 8"/>
        <xdr:cNvSpPr>
          <a:spLocks/>
        </xdr:cNvSpPr>
      </xdr:nvSpPr>
      <xdr:spPr>
        <a:xfrm rot="2771099">
          <a:off x="1943100" y="4362450"/>
          <a:ext cx="1619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26</xdr:row>
      <xdr:rowOff>123825</xdr:rowOff>
    </xdr:from>
    <xdr:to>
      <xdr:col>13</xdr:col>
      <xdr:colOff>133350</xdr:colOff>
      <xdr:row>27</xdr:row>
      <xdr:rowOff>38100</xdr:rowOff>
    </xdr:to>
    <xdr:sp>
      <xdr:nvSpPr>
        <xdr:cNvPr id="8" name="Oval 9"/>
        <xdr:cNvSpPr>
          <a:spLocks/>
        </xdr:cNvSpPr>
      </xdr:nvSpPr>
      <xdr:spPr>
        <a:xfrm rot="17444926">
          <a:off x="7800975" y="4371975"/>
          <a:ext cx="2286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27</xdr:row>
      <xdr:rowOff>28575</xdr:rowOff>
    </xdr:from>
    <xdr:to>
      <xdr:col>3</xdr:col>
      <xdr:colOff>180975</xdr:colOff>
      <xdr:row>29</xdr:row>
      <xdr:rowOff>133350</xdr:rowOff>
    </xdr:to>
    <xdr:sp>
      <xdr:nvSpPr>
        <xdr:cNvPr id="9" name="Line 11"/>
        <xdr:cNvSpPr>
          <a:spLocks/>
        </xdr:cNvSpPr>
      </xdr:nvSpPr>
      <xdr:spPr>
        <a:xfrm flipH="1">
          <a:off x="1476375" y="4438650"/>
          <a:ext cx="5048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27</xdr:row>
      <xdr:rowOff>28575</xdr:rowOff>
    </xdr:from>
    <xdr:to>
      <xdr:col>15</xdr:col>
      <xdr:colOff>400050</xdr:colOff>
      <xdr:row>30</xdr:row>
      <xdr:rowOff>95250</xdr:rowOff>
    </xdr:to>
    <xdr:sp>
      <xdr:nvSpPr>
        <xdr:cNvPr id="10" name="Line 12"/>
        <xdr:cNvSpPr>
          <a:spLocks/>
        </xdr:cNvSpPr>
      </xdr:nvSpPr>
      <xdr:spPr>
        <a:xfrm>
          <a:off x="8001000" y="4438650"/>
          <a:ext cx="15144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23</xdr:row>
      <xdr:rowOff>0</xdr:rowOff>
    </xdr:from>
    <xdr:to>
      <xdr:col>4</xdr:col>
      <xdr:colOff>28575</xdr:colOff>
      <xdr:row>24</xdr:row>
      <xdr:rowOff>9525</xdr:rowOff>
    </xdr:to>
    <xdr:sp>
      <xdr:nvSpPr>
        <xdr:cNvPr id="11" name="Line 14"/>
        <xdr:cNvSpPr>
          <a:spLocks/>
        </xdr:cNvSpPr>
      </xdr:nvSpPr>
      <xdr:spPr>
        <a:xfrm>
          <a:off x="2181225" y="3762375"/>
          <a:ext cx="2571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714375</xdr:colOff>
      <xdr:row>22</xdr:row>
      <xdr:rowOff>19050</xdr:rowOff>
    </xdr:from>
    <xdr:to>
      <xdr:col>10</xdr:col>
      <xdr:colOff>714375</xdr:colOff>
      <xdr:row>23</xdr:row>
      <xdr:rowOff>133350</xdr:rowOff>
    </xdr:to>
    <xdr:sp>
      <xdr:nvSpPr>
        <xdr:cNvPr id="12" name="Line 15"/>
        <xdr:cNvSpPr>
          <a:spLocks/>
        </xdr:cNvSpPr>
      </xdr:nvSpPr>
      <xdr:spPr>
        <a:xfrm>
          <a:off x="6734175" y="36195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17</xdr:row>
      <xdr:rowOff>133350</xdr:rowOff>
    </xdr:from>
    <xdr:to>
      <xdr:col>6</xdr:col>
      <xdr:colOff>123825</xdr:colOff>
      <xdr:row>18</xdr:row>
      <xdr:rowOff>133350</xdr:rowOff>
    </xdr:to>
    <xdr:sp>
      <xdr:nvSpPr>
        <xdr:cNvPr id="13" name="Oval 16"/>
        <xdr:cNvSpPr>
          <a:spLocks/>
        </xdr:cNvSpPr>
      </xdr:nvSpPr>
      <xdr:spPr>
        <a:xfrm>
          <a:off x="3686175" y="2924175"/>
          <a:ext cx="666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16</xdr:row>
      <xdr:rowOff>76200</xdr:rowOff>
    </xdr:from>
    <xdr:to>
      <xdr:col>6</xdr:col>
      <xdr:colOff>85725</xdr:colOff>
      <xdr:row>18</xdr:row>
      <xdr:rowOff>9525</xdr:rowOff>
    </xdr:to>
    <xdr:sp>
      <xdr:nvSpPr>
        <xdr:cNvPr id="14" name="Line 17"/>
        <xdr:cNvSpPr>
          <a:spLocks/>
        </xdr:cNvSpPr>
      </xdr:nvSpPr>
      <xdr:spPr>
        <a:xfrm flipV="1">
          <a:off x="3714750" y="27051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28575</xdr:rowOff>
    </xdr:from>
    <xdr:to>
      <xdr:col>5</xdr:col>
      <xdr:colOff>466725</xdr:colOff>
      <xdr:row>30</xdr:row>
      <xdr:rowOff>133350</xdr:rowOff>
    </xdr:to>
    <xdr:sp>
      <xdr:nvSpPr>
        <xdr:cNvPr id="15" name="Line 19"/>
        <xdr:cNvSpPr>
          <a:spLocks/>
        </xdr:cNvSpPr>
      </xdr:nvSpPr>
      <xdr:spPr>
        <a:xfrm>
          <a:off x="3486150" y="44386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85725</xdr:rowOff>
    </xdr:from>
    <xdr:to>
      <xdr:col>5</xdr:col>
      <xdr:colOff>561975</xdr:colOff>
      <xdr:row>25</xdr:row>
      <xdr:rowOff>142875</xdr:rowOff>
    </xdr:to>
    <xdr:sp>
      <xdr:nvSpPr>
        <xdr:cNvPr id="16" name="Line 20"/>
        <xdr:cNvSpPr>
          <a:spLocks/>
        </xdr:cNvSpPr>
      </xdr:nvSpPr>
      <xdr:spPr>
        <a:xfrm flipV="1">
          <a:off x="3486150" y="3200400"/>
          <a:ext cx="95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27</xdr:row>
      <xdr:rowOff>85725</xdr:rowOff>
    </xdr:from>
    <xdr:to>
      <xdr:col>3</xdr:col>
      <xdr:colOff>219075</xdr:colOff>
      <xdr:row>29</xdr:row>
      <xdr:rowOff>152400</xdr:rowOff>
    </xdr:to>
    <xdr:sp>
      <xdr:nvSpPr>
        <xdr:cNvPr id="17" name="Line 23"/>
        <xdr:cNvSpPr>
          <a:spLocks/>
        </xdr:cNvSpPr>
      </xdr:nvSpPr>
      <xdr:spPr>
        <a:xfrm flipH="1">
          <a:off x="2009775" y="4495800"/>
          <a:ext cx="9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57150</xdr:rowOff>
    </xdr:from>
    <xdr:to>
      <xdr:col>13</xdr:col>
      <xdr:colOff>19050</xdr:colOff>
      <xdr:row>30</xdr:row>
      <xdr:rowOff>9525</xdr:rowOff>
    </xdr:to>
    <xdr:sp>
      <xdr:nvSpPr>
        <xdr:cNvPr id="18" name="Line 24"/>
        <xdr:cNvSpPr>
          <a:spLocks/>
        </xdr:cNvSpPr>
      </xdr:nvSpPr>
      <xdr:spPr>
        <a:xfrm>
          <a:off x="7915275" y="4467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16</xdr:row>
      <xdr:rowOff>152400</xdr:rowOff>
    </xdr:from>
    <xdr:to>
      <xdr:col>6</xdr:col>
      <xdr:colOff>0</xdr:colOff>
      <xdr:row>17</xdr:row>
      <xdr:rowOff>47625</xdr:rowOff>
    </xdr:to>
    <xdr:sp>
      <xdr:nvSpPr>
        <xdr:cNvPr id="19" name="Line 25"/>
        <xdr:cNvSpPr>
          <a:spLocks/>
        </xdr:cNvSpPr>
      </xdr:nvSpPr>
      <xdr:spPr>
        <a:xfrm>
          <a:off x="3429000" y="2781300"/>
          <a:ext cx="2000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28575</xdr:rowOff>
    </xdr:from>
    <xdr:to>
      <xdr:col>7</xdr:col>
      <xdr:colOff>247650</xdr:colOff>
      <xdr:row>25</xdr:row>
      <xdr:rowOff>0</xdr:rowOff>
    </xdr:to>
    <xdr:sp>
      <xdr:nvSpPr>
        <xdr:cNvPr id="20" name="Line 29"/>
        <xdr:cNvSpPr>
          <a:spLocks/>
        </xdr:cNvSpPr>
      </xdr:nvSpPr>
      <xdr:spPr>
        <a:xfrm flipH="1" flipV="1">
          <a:off x="3819525" y="3790950"/>
          <a:ext cx="2381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19050</xdr:rowOff>
    </xdr:from>
    <xdr:to>
      <xdr:col>10</xdr:col>
      <xdr:colOff>390525</xdr:colOff>
      <xdr:row>56</xdr:row>
      <xdr:rowOff>9525</xdr:rowOff>
    </xdr:to>
    <xdr:graphicFrame>
      <xdr:nvGraphicFramePr>
        <xdr:cNvPr id="21" name="Chart 33"/>
        <xdr:cNvGraphicFramePr/>
      </xdr:nvGraphicFramePr>
      <xdr:xfrm>
        <a:off x="1800225" y="7181850"/>
        <a:ext cx="46101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95250</xdr:colOff>
      <xdr:row>4</xdr:row>
      <xdr:rowOff>19050</xdr:rowOff>
    </xdr:from>
    <xdr:to>
      <xdr:col>17</xdr:col>
      <xdr:colOff>209550</xdr:colOff>
      <xdr:row>15</xdr:row>
      <xdr:rowOff>133350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9210675" y="704850"/>
          <a:ext cx="13335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Ham Bands
1.8 - 2.0
3.5 - 4.0
7.0 - 7.30
10.1 - 10.150
14.0 - 14.350
18.068 - 18.168
21.0 - 21.450
24.893 - 24.990
28.0 - 29.70
50.1 - 54.0</a:t>
          </a:r>
        </a:p>
      </xdr:txBody>
    </xdr:sp>
    <xdr:clientData/>
  </xdr:twoCellAnchor>
  <xdr:twoCellAnchor>
    <xdr:from>
      <xdr:col>9</xdr:col>
      <xdr:colOff>323850</xdr:colOff>
      <xdr:row>8</xdr:row>
      <xdr:rowOff>133350</xdr:rowOff>
    </xdr:from>
    <xdr:to>
      <xdr:col>10</xdr:col>
      <xdr:colOff>704850</xdr:colOff>
      <xdr:row>8</xdr:row>
      <xdr:rowOff>133350</xdr:rowOff>
    </xdr:to>
    <xdr:sp>
      <xdr:nvSpPr>
        <xdr:cNvPr id="23" name="Line 48"/>
        <xdr:cNvSpPr>
          <a:spLocks/>
        </xdr:cNvSpPr>
      </xdr:nvSpPr>
      <xdr:spPr>
        <a:xfrm>
          <a:off x="5362575" y="14668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66675</xdr:rowOff>
    </xdr:from>
    <xdr:to>
      <xdr:col>7</xdr:col>
      <xdr:colOff>333375</xdr:colOff>
      <xdr:row>18</xdr:row>
      <xdr:rowOff>123825</xdr:rowOff>
    </xdr:to>
    <xdr:sp>
      <xdr:nvSpPr>
        <xdr:cNvPr id="24" name="Line 50"/>
        <xdr:cNvSpPr>
          <a:spLocks/>
        </xdr:cNvSpPr>
      </xdr:nvSpPr>
      <xdr:spPr>
        <a:xfrm flipH="1">
          <a:off x="3895725" y="3019425"/>
          <a:ext cx="2476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18</xdr:row>
      <xdr:rowOff>57150</xdr:rowOff>
    </xdr:from>
    <xdr:to>
      <xdr:col>5</xdr:col>
      <xdr:colOff>561975</xdr:colOff>
      <xdr:row>18</xdr:row>
      <xdr:rowOff>95250</xdr:rowOff>
    </xdr:to>
    <xdr:sp>
      <xdr:nvSpPr>
        <xdr:cNvPr id="25" name="Line 51"/>
        <xdr:cNvSpPr>
          <a:spLocks/>
        </xdr:cNvSpPr>
      </xdr:nvSpPr>
      <xdr:spPr>
        <a:xfrm flipV="1">
          <a:off x="3362325" y="3009900"/>
          <a:ext cx="2190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18</xdr:row>
      <xdr:rowOff>95250</xdr:rowOff>
    </xdr:from>
    <xdr:to>
      <xdr:col>7</xdr:col>
      <xdr:colOff>9525</xdr:colOff>
      <xdr:row>19</xdr:row>
      <xdr:rowOff>57150</xdr:rowOff>
    </xdr:to>
    <xdr:sp>
      <xdr:nvSpPr>
        <xdr:cNvPr id="26" name="Rectangle 52"/>
        <xdr:cNvSpPr>
          <a:spLocks/>
        </xdr:cNvSpPr>
      </xdr:nvSpPr>
      <xdr:spPr>
        <a:xfrm>
          <a:off x="3600450" y="3048000"/>
          <a:ext cx="2190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25</xdr:row>
      <xdr:rowOff>133350</xdr:rowOff>
    </xdr:from>
    <xdr:to>
      <xdr:col>14</xdr:col>
      <xdr:colOff>219075</xdr:colOff>
      <xdr:row>27</xdr:row>
      <xdr:rowOff>104775</xdr:rowOff>
    </xdr:to>
    <xdr:sp>
      <xdr:nvSpPr>
        <xdr:cNvPr id="27" name="Line 63"/>
        <xdr:cNvSpPr>
          <a:spLocks/>
        </xdr:cNvSpPr>
      </xdr:nvSpPr>
      <xdr:spPr>
        <a:xfrm flipH="1">
          <a:off x="8458200" y="4219575"/>
          <a:ext cx="2667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104775</xdr:colOff>
      <xdr:row>16</xdr:row>
      <xdr:rowOff>38100</xdr:rowOff>
    </xdr:from>
    <xdr:to>
      <xdr:col>17</xdr:col>
      <xdr:colOff>361950</xdr:colOff>
      <xdr:row>24</xdr:row>
      <xdr:rowOff>19050</xdr:rowOff>
    </xdr:to>
    <xdr:pic>
      <xdr:nvPicPr>
        <xdr:cNvPr id="28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2667000"/>
          <a:ext cx="1476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24</xdr:row>
      <xdr:rowOff>0</xdr:rowOff>
    </xdr:from>
    <xdr:to>
      <xdr:col>17</xdr:col>
      <xdr:colOff>428625</xdr:colOff>
      <xdr:row>31</xdr:row>
      <xdr:rowOff>95250</xdr:rowOff>
    </xdr:to>
    <xdr:pic>
      <xdr:nvPicPr>
        <xdr:cNvPr id="29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24950" y="3924300"/>
          <a:ext cx="1638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9</xdr:row>
      <xdr:rowOff>95250</xdr:rowOff>
    </xdr:from>
    <xdr:to>
      <xdr:col>5</xdr:col>
      <xdr:colOff>323850</xdr:colOff>
      <xdr:row>9</xdr:row>
      <xdr:rowOff>95250</xdr:rowOff>
    </xdr:to>
    <xdr:sp>
      <xdr:nvSpPr>
        <xdr:cNvPr id="30" name="Line 68"/>
        <xdr:cNvSpPr>
          <a:spLocks/>
        </xdr:cNvSpPr>
      </xdr:nvSpPr>
      <xdr:spPr>
        <a:xfrm flipH="1">
          <a:off x="3067050" y="1590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723900</xdr:colOff>
      <xdr:row>39</xdr:row>
      <xdr:rowOff>85725</xdr:rowOff>
    </xdr:from>
    <xdr:to>
      <xdr:col>9</xdr:col>
      <xdr:colOff>942975</xdr:colOff>
      <xdr:row>39</xdr:row>
      <xdr:rowOff>85725</xdr:rowOff>
    </xdr:to>
    <xdr:sp>
      <xdr:nvSpPr>
        <xdr:cNvPr id="31" name="Line 76"/>
        <xdr:cNvSpPr>
          <a:spLocks/>
        </xdr:cNvSpPr>
      </xdr:nvSpPr>
      <xdr:spPr>
        <a:xfrm>
          <a:off x="5762625" y="6438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35</xdr:row>
      <xdr:rowOff>57150</xdr:rowOff>
    </xdr:from>
    <xdr:to>
      <xdr:col>18</xdr:col>
      <xdr:colOff>76200</xdr:colOff>
      <xdr:row>55</xdr:row>
      <xdr:rowOff>66675</xdr:rowOff>
    </xdr:to>
    <xdr:pic>
      <xdr:nvPicPr>
        <xdr:cNvPr id="32" name="Picture 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0" y="5762625"/>
          <a:ext cx="37814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52</xdr:row>
      <xdr:rowOff>114300</xdr:rowOff>
    </xdr:from>
    <xdr:to>
      <xdr:col>15</xdr:col>
      <xdr:colOff>409575</xdr:colOff>
      <xdr:row>56</xdr:row>
      <xdr:rowOff>0</xdr:rowOff>
    </xdr:to>
    <xdr:sp>
      <xdr:nvSpPr>
        <xdr:cNvPr id="33" name="Line 78"/>
        <xdr:cNvSpPr>
          <a:spLocks/>
        </xdr:cNvSpPr>
      </xdr:nvSpPr>
      <xdr:spPr>
        <a:xfrm flipV="1">
          <a:off x="9124950" y="8572500"/>
          <a:ext cx="400050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wally\Documents\EXCEL%20ANTENNA%20DESIGNS%202013\HAM%20RADIO%206%208%202010\KK1CW%20HAM%20RADIO%20UPDATED%2010\EXCEL%20ANTENNA%20DESIGNS%202010\wire%20antennas\balu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3"/>
  <sheetViews>
    <sheetView tabSelected="1" zoomScaleSheetLayoutView="100" workbookViewId="0" topLeftCell="A1">
      <selection activeCell="Q1" sqref="Q1"/>
    </sheetView>
  </sheetViews>
  <sheetFormatPr defaultColWidth="9.140625" defaultRowHeight="12.75"/>
  <cols>
    <col min="1" max="1" width="6.7109375" style="0" customWidth="1"/>
    <col min="2" max="2" width="11.140625" style="0" bestFit="1" customWidth="1"/>
    <col min="7" max="7" width="2.7109375" style="0" customWidth="1"/>
    <col min="8" max="8" width="9.7109375" style="0" customWidth="1"/>
    <col min="9" max="9" width="8.7109375" style="0" customWidth="1"/>
    <col min="10" max="10" width="14.7109375" style="0" customWidth="1"/>
    <col min="11" max="11" width="10.7109375" style="0" customWidth="1"/>
    <col min="12" max="12" width="7.7109375" style="0" customWidth="1"/>
    <col min="13" max="13" width="9.7109375" style="0" bestFit="1" customWidth="1"/>
    <col min="19" max="23" width="2.7109375" style="0" customWidth="1"/>
    <col min="31" max="32" width="9.28125" style="0" bestFit="1" customWidth="1"/>
  </cols>
  <sheetData>
    <row r="1" spans="1:24" ht="15.75">
      <c r="A1" s="2" t="s">
        <v>29</v>
      </c>
      <c r="B1" s="1"/>
      <c r="C1" s="1"/>
      <c r="D1" s="2"/>
      <c r="E1" s="1"/>
      <c r="F1" s="1"/>
      <c r="G1" s="1"/>
      <c r="H1" s="1"/>
      <c r="I1" s="15" t="s">
        <v>42</v>
      </c>
      <c r="J1" s="12"/>
      <c r="K1" s="12"/>
      <c r="L1" s="1"/>
      <c r="M1" s="3" t="s">
        <v>0</v>
      </c>
      <c r="N1" s="18" t="s">
        <v>37</v>
      </c>
      <c r="O1" s="1"/>
      <c r="P1" s="1"/>
      <c r="Q1" s="7" t="s">
        <v>67</v>
      </c>
      <c r="R1" s="1"/>
      <c r="S1" s="1"/>
      <c r="T1" s="1"/>
      <c r="U1" s="1"/>
      <c r="V1" s="1"/>
      <c r="W1" s="1"/>
      <c r="X1" s="1"/>
    </row>
    <row r="2" spans="1:24" ht="12.75" customHeight="1">
      <c r="A2" s="1"/>
      <c r="B2" s="1"/>
      <c r="C2" s="1"/>
      <c r="D2" s="2"/>
      <c r="E2" s="1"/>
      <c r="F2" s="1"/>
      <c r="G2" s="1"/>
      <c r="H2" s="1"/>
      <c r="I2" s="15"/>
      <c r="J2" s="12"/>
      <c r="K2" s="12"/>
      <c r="L2" s="1"/>
      <c r="M2" s="3"/>
      <c r="N2" s="18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>
      <c r="A3" s="7" t="s">
        <v>61</v>
      </c>
      <c r="B3" s="1"/>
      <c r="C3" s="1"/>
      <c r="D3" s="1"/>
      <c r="E3" s="1"/>
      <c r="F3" s="1"/>
      <c r="G3" s="1"/>
      <c r="H3" s="1"/>
      <c r="I3" s="1"/>
      <c r="J3" s="1"/>
      <c r="K3" s="1"/>
      <c r="L3" s="5" t="s">
        <v>24</v>
      </c>
      <c r="M3" s="17" t="s">
        <v>7</v>
      </c>
      <c r="N3" s="67" t="s">
        <v>17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7" t="s">
        <v>62</v>
      </c>
      <c r="B4" s="1"/>
      <c r="C4" s="1"/>
      <c r="D4" s="1"/>
      <c r="E4" s="1"/>
      <c r="F4" s="1"/>
      <c r="G4" s="1"/>
      <c r="H4" s="1"/>
      <c r="I4" s="1"/>
      <c r="J4" s="1"/>
      <c r="K4" s="1"/>
      <c r="L4" s="24" t="s">
        <v>16</v>
      </c>
      <c r="M4" s="3" t="s">
        <v>15</v>
      </c>
      <c r="N4" s="68" t="s">
        <v>18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7" t="s">
        <v>63</v>
      </c>
      <c r="B5" s="1"/>
      <c r="C5" s="1"/>
      <c r="D5" s="1"/>
      <c r="E5" s="1"/>
      <c r="F5" s="1"/>
      <c r="G5" s="1"/>
      <c r="H5" s="1"/>
      <c r="I5" s="1"/>
      <c r="J5" s="1"/>
      <c r="K5" s="1"/>
      <c r="L5" s="70">
        <f>E9</f>
        <v>3.56</v>
      </c>
      <c r="M5" s="69">
        <f>IF(E$10=2,(B$18/L5)*C$18,(B$18/L5)*C$19)/12</f>
        <v>135.85280898876402</v>
      </c>
      <c r="N5" s="72">
        <f>M$5/M5</f>
        <v>1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7" t="s">
        <v>60</v>
      </c>
      <c r="B6" s="1"/>
      <c r="C6" s="1"/>
      <c r="D6" s="1"/>
      <c r="E6" s="1"/>
      <c r="F6" s="1"/>
      <c r="G6" s="1"/>
      <c r="H6" s="1"/>
      <c r="I6" s="1"/>
      <c r="J6" s="1"/>
      <c r="K6" s="1"/>
      <c r="L6" s="29">
        <f>L$5*2</f>
        <v>7.12</v>
      </c>
      <c r="M6" s="69">
        <f aca="true" t="shared" si="0" ref="M6:M20">IF(E$10=2,(B$18/L6)*C$18,(B$18/L6)*C$19)/12</f>
        <v>67.92640449438201</v>
      </c>
      <c r="N6" s="72">
        <f aca="true" t="shared" si="1" ref="N6:N20">M$5/M6</f>
        <v>2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75" t="s">
        <v>58</v>
      </c>
      <c r="B7" s="1"/>
      <c r="C7" s="4"/>
      <c r="D7" s="1"/>
      <c r="E7" s="1"/>
      <c r="F7" s="1"/>
      <c r="G7" s="1"/>
      <c r="H7" s="1"/>
      <c r="I7" s="1"/>
      <c r="J7" s="1"/>
      <c r="K7" s="1"/>
      <c r="L7" s="29">
        <f>L$5*3</f>
        <v>10.68</v>
      </c>
      <c r="M7" s="69">
        <f t="shared" si="0"/>
        <v>45.28426966292135</v>
      </c>
      <c r="N7" s="72">
        <f t="shared" si="1"/>
        <v>2.999999999999999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 customHeight="1">
      <c r="A8" s="76" t="s">
        <v>59</v>
      </c>
      <c r="B8" s="1"/>
      <c r="C8" s="4"/>
      <c r="D8" s="6"/>
      <c r="E8" s="77"/>
      <c r="F8" s="1"/>
      <c r="G8" s="1"/>
      <c r="H8" s="1"/>
      <c r="I8" s="1"/>
      <c r="J8" s="1"/>
      <c r="K8" s="1"/>
      <c r="L8" s="29">
        <f>L$5*4</f>
        <v>14.24</v>
      </c>
      <c r="M8" s="69">
        <f t="shared" si="0"/>
        <v>33.963202247191006</v>
      </c>
      <c r="N8" s="72">
        <f t="shared" si="1"/>
        <v>4</v>
      </c>
      <c r="O8" s="1"/>
      <c r="P8" s="21" t="s">
        <v>0</v>
      </c>
      <c r="Q8" s="1"/>
      <c r="R8" s="1"/>
      <c r="S8" s="1"/>
      <c r="T8" s="1"/>
      <c r="U8" s="1"/>
      <c r="V8" s="1"/>
      <c r="W8" s="1"/>
      <c r="X8" s="1"/>
    </row>
    <row r="9" spans="1:24" ht="12.75" customHeight="1">
      <c r="A9" s="1"/>
      <c r="B9" s="9"/>
      <c r="C9" s="9"/>
      <c r="D9" s="40" t="s">
        <v>40</v>
      </c>
      <c r="E9" s="45">
        <v>3.56</v>
      </c>
      <c r="F9" s="53" t="s">
        <v>41</v>
      </c>
      <c r="G9" s="9"/>
      <c r="H9" s="9"/>
      <c r="I9" s="9"/>
      <c r="J9" s="9"/>
      <c r="K9" s="1"/>
      <c r="L9" s="29">
        <f>L$5*5</f>
        <v>17.8</v>
      </c>
      <c r="M9" s="69">
        <f t="shared" si="0"/>
        <v>27.170561797752807</v>
      </c>
      <c r="N9" s="72">
        <f t="shared" si="1"/>
        <v>5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customHeight="1">
      <c r="A10" s="1"/>
      <c r="B10" s="9"/>
      <c r="C10" s="9"/>
      <c r="D10" s="40" t="s">
        <v>35</v>
      </c>
      <c r="E10" s="13">
        <v>2</v>
      </c>
      <c r="F10" s="19" t="s">
        <v>36</v>
      </c>
      <c r="G10" s="1"/>
      <c r="H10" s="1"/>
      <c r="I10" s="1"/>
      <c r="J10" s="1"/>
      <c r="K10" s="1"/>
      <c r="L10" s="29">
        <f>L$5*6</f>
        <v>21.36</v>
      </c>
      <c r="M10" s="69">
        <f t="shared" si="0"/>
        <v>22.642134831460677</v>
      </c>
      <c r="N10" s="72">
        <f t="shared" si="1"/>
        <v>5.999999999999998</v>
      </c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customHeight="1" thickBot="1">
      <c r="A11" s="53" t="s">
        <v>56</v>
      </c>
      <c r="B11" s="1"/>
      <c r="C11" s="1"/>
      <c r="D11" s="1"/>
      <c r="E11" s="1"/>
      <c r="F11" s="1"/>
      <c r="G11" s="1"/>
      <c r="H11" s="1"/>
      <c r="I11" s="1"/>
      <c r="J11" s="1"/>
      <c r="K11" s="9"/>
      <c r="L11" s="29">
        <f>L$5*7</f>
        <v>24.92</v>
      </c>
      <c r="M11" s="69">
        <f t="shared" si="0"/>
        <v>19.407544141252004</v>
      </c>
      <c r="N11" s="72">
        <f t="shared" si="1"/>
        <v>7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customHeight="1" thickBot="1">
      <c r="A12" s="1"/>
      <c r="B12" s="9"/>
      <c r="C12" s="9"/>
      <c r="D12" s="78"/>
      <c r="E12" s="38" t="s">
        <v>30</v>
      </c>
      <c r="F12" s="30">
        <v>40</v>
      </c>
      <c r="G12" s="39" t="s">
        <v>22</v>
      </c>
      <c r="H12" s="25"/>
      <c r="I12" s="9"/>
      <c r="J12" s="9"/>
      <c r="K12" s="1"/>
      <c r="L12" s="29">
        <f>L$5*8</f>
        <v>28.48</v>
      </c>
      <c r="M12" s="69">
        <f t="shared" si="0"/>
        <v>16.981601123595503</v>
      </c>
      <c r="N12" s="72">
        <f t="shared" si="1"/>
        <v>8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customHeight="1" thickBot="1">
      <c r="A13" s="1"/>
      <c r="B13" s="9"/>
      <c r="C13" s="9"/>
      <c r="D13" s="9"/>
      <c r="E13" s="38" t="s">
        <v>31</v>
      </c>
      <c r="F13" s="30">
        <v>2</v>
      </c>
      <c r="G13" s="39" t="s">
        <v>23</v>
      </c>
      <c r="H13" s="9"/>
      <c r="I13" s="9"/>
      <c r="J13" s="9"/>
      <c r="K13" s="1"/>
      <c r="L13" s="29">
        <f>L$5*9</f>
        <v>32.04</v>
      </c>
      <c r="M13" s="69">
        <f t="shared" si="0"/>
        <v>15.094756554307118</v>
      </c>
      <c r="N13" s="72">
        <f t="shared" si="1"/>
        <v>8.999999999999998</v>
      </c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customHeight="1" thickBot="1">
      <c r="A14" s="79"/>
      <c r="B14" s="1"/>
      <c r="C14" s="1"/>
      <c r="D14" s="1"/>
      <c r="E14" s="37" t="s">
        <v>32</v>
      </c>
      <c r="F14" s="42">
        <v>0.289</v>
      </c>
      <c r="G14" s="19" t="s">
        <v>64</v>
      </c>
      <c r="H14" s="19"/>
      <c r="I14" s="1"/>
      <c r="J14" s="1"/>
      <c r="K14" s="1"/>
      <c r="L14" s="29">
        <f>L$5*10</f>
        <v>35.6</v>
      </c>
      <c r="M14" s="69">
        <f t="shared" si="0"/>
        <v>13.585280898876404</v>
      </c>
      <c r="N14" s="72">
        <f t="shared" si="1"/>
        <v>10</v>
      </c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customHeight="1" thickBot="1">
      <c r="A15" s="1"/>
      <c r="B15" s="80" t="s">
        <v>0</v>
      </c>
      <c r="C15" s="81" t="s">
        <v>0</v>
      </c>
      <c r="D15" s="82" t="s">
        <v>0</v>
      </c>
      <c r="E15" s="83" t="s">
        <v>0</v>
      </c>
      <c r="F15" s="84" t="s">
        <v>0</v>
      </c>
      <c r="G15" s="85" t="s">
        <v>0</v>
      </c>
      <c r="H15" s="86" t="s">
        <v>0</v>
      </c>
      <c r="I15" s="82" t="s">
        <v>28</v>
      </c>
      <c r="J15" s="82" t="s">
        <v>0</v>
      </c>
      <c r="K15" s="82" t="s">
        <v>0</v>
      </c>
      <c r="L15" s="29">
        <f>L$5*11</f>
        <v>39.160000000000004</v>
      </c>
      <c r="M15" s="69">
        <f t="shared" si="0"/>
        <v>12.350255362614911</v>
      </c>
      <c r="N15" s="72">
        <f t="shared" si="1"/>
        <v>11</v>
      </c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 thickBot="1">
      <c r="A16" s="1"/>
      <c r="B16" s="10"/>
      <c r="C16" s="32"/>
      <c r="D16" s="33"/>
      <c r="E16" s="34" t="s">
        <v>20</v>
      </c>
      <c r="F16" s="87" t="str">
        <f>IF(D20="n","Feet","Meters")</f>
        <v>Feet</v>
      </c>
      <c r="G16" s="34" t="s">
        <v>19</v>
      </c>
      <c r="H16" s="35">
        <f>D$23+K$22</f>
        <v>135.85280898876402</v>
      </c>
      <c r="I16" s="88"/>
      <c r="J16" s="36" t="str">
        <f>IF(D20="n","Feed Point Offset Feet","Feed Point Offset Meters")</f>
        <v>Feed Point Offset Feet</v>
      </c>
      <c r="K16" s="71">
        <f>H$16*J17</f>
        <v>39.2614617977528</v>
      </c>
      <c r="L16" s="29">
        <f>L$5*12</f>
        <v>42.72</v>
      </c>
      <c r="M16" s="69">
        <f t="shared" si="0"/>
        <v>11.321067415730338</v>
      </c>
      <c r="N16" s="72">
        <f t="shared" si="1"/>
        <v>11.999999999999996</v>
      </c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>
      <c r="A17" s="89" t="s">
        <v>0</v>
      </c>
      <c r="B17" s="54"/>
      <c r="C17" s="54"/>
      <c r="D17" s="40" t="s">
        <v>0</v>
      </c>
      <c r="E17" s="57" t="s">
        <v>0</v>
      </c>
      <c r="F17" s="40" t="s">
        <v>3</v>
      </c>
      <c r="G17" s="54"/>
      <c r="H17" s="54"/>
      <c r="I17" s="40" t="s">
        <v>0</v>
      </c>
      <c r="J17" s="41">
        <f>F14</f>
        <v>0.289</v>
      </c>
      <c r="K17" s="90" t="s">
        <v>0</v>
      </c>
      <c r="L17" s="29">
        <f>L$5*13</f>
        <v>46.28</v>
      </c>
      <c r="M17" s="69">
        <f t="shared" si="0"/>
        <v>10.450216076058773</v>
      </c>
      <c r="N17" s="72">
        <f t="shared" si="1"/>
        <v>12.999999999999998</v>
      </c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>
      <c r="A18" s="54"/>
      <c r="B18" s="10">
        <v>5904</v>
      </c>
      <c r="C18" s="10">
        <f>0.985+E18</f>
        <v>0.983</v>
      </c>
      <c r="D18" s="10">
        <f>B18/E$9*E18/12</f>
        <v>-0.27640449438202247</v>
      </c>
      <c r="E18" s="10">
        <f>SUM(J23:J27)</f>
        <v>-0.002</v>
      </c>
      <c r="F18" s="58" t="s">
        <v>0</v>
      </c>
      <c r="G18" s="54"/>
      <c r="H18" s="54"/>
      <c r="I18" s="54"/>
      <c r="J18" s="22">
        <f>M5*J17</f>
        <v>39.2614617977528</v>
      </c>
      <c r="K18" s="59" t="s">
        <v>0</v>
      </c>
      <c r="L18" s="29">
        <f>L$5*14</f>
        <v>49.84</v>
      </c>
      <c r="M18" s="69">
        <f t="shared" si="0"/>
        <v>9.703772070626002</v>
      </c>
      <c r="N18" s="72">
        <f t="shared" si="1"/>
        <v>14</v>
      </c>
      <c r="O18" s="1"/>
      <c r="P18" s="9"/>
      <c r="Q18" s="1"/>
      <c r="R18" s="1"/>
      <c r="S18" s="1"/>
      <c r="T18" s="1"/>
      <c r="U18" s="1"/>
      <c r="V18" s="1"/>
      <c r="W18" s="1"/>
      <c r="X18" s="1"/>
    </row>
    <row r="19" spans="1:24" ht="12.75" customHeight="1">
      <c r="A19" s="54"/>
      <c r="B19" s="10">
        <v>5904</v>
      </c>
      <c r="C19" s="10">
        <f>0.985+E18</f>
        <v>0.983</v>
      </c>
      <c r="D19" s="10">
        <f>B19/E$9*E18/12</f>
        <v>-0.27640449438202247</v>
      </c>
      <c r="E19" s="54"/>
      <c r="F19" s="40" t="s">
        <v>21</v>
      </c>
      <c r="G19" s="54"/>
      <c r="H19" s="20" t="s">
        <v>25</v>
      </c>
      <c r="I19" s="54"/>
      <c r="J19" s="23">
        <f>M5-J18</f>
        <v>96.59134719101122</v>
      </c>
      <c r="K19" s="60" t="s">
        <v>0</v>
      </c>
      <c r="L19" s="29">
        <f>L$5*15</f>
        <v>53.4</v>
      </c>
      <c r="M19" s="69">
        <f t="shared" si="0"/>
        <v>9.05685393258427</v>
      </c>
      <c r="N19" s="72">
        <f t="shared" si="1"/>
        <v>14.999999999999998</v>
      </c>
      <c r="O19" s="1"/>
      <c r="P19" s="10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54"/>
      <c r="B20" s="91"/>
      <c r="C20" s="73" t="s">
        <v>13</v>
      </c>
      <c r="D20" s="92" t="s">
        <v>8</v>
      </c>
      <c r="E20" s="74" t="s">
        <v>6</v>
      </c>
      <c r="F20" s="26"/>
      <c r="G20" s="54"/>
      <c r="H20" s="54"/>
      <c r="I20" s="54"/>
      <c r="J20" s="54"/>
      <c r="K20" s="54"/>
      <c r="L20" s="29">
        <f>L$5*16</f>
        <v>56.96</v>
      </c>
      <c r="M20" s="69">
        <f t="shared" si="0"/>
        <v>8.490800561797752</v>
      </c>
      <c r="N20" s="72">
        <f t="shared" si="1"/>
        <v>16</v>
      </c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54"/>
      <c r="B21" s="54"/>
      <c r="C21" s="53"/>
      <c r="D21" s="54"/>
      <c r="E21" s="54"/>
      <c r="F21" s="58"/>
      <c r="G21" s="54"/>
      <c r="H21" s="54" t="s">
        <v>0</v>
      </c>
      <c r="I21" s="54"/>
      <c r="J21" s="54"/>
      <c r="K21" s="53" t="s">
        <v>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54"/>
      <c r="B22" s="54"/>
      <c r="C22" s="53"/>
      <c r="D22" s="40" t="s">
        <v>5</v>
      </c>
      <c r="E22" s="54"/>
      <c r="F22" s="58"/>
      <c r="G22" s="54" t="s">
        <v>0</v>
      </c>
      <c r="H22" s="20" t="s">
        <v>1</v>
      </c>
      <c r="I22" s="54"/>
      <c r="J22" s="54"/>
      <c r="K22" s="27">
        <f>IF(D20="n",J19,J19*12/39.37)</f>
        <v>96.59134719101122</v>
      </c>
      <c r="L22" s="20" t="str">
        <f>IF(D20="n","ft","meters")</f>
        <v>ft</v>
      </c>
      <c r="M22" s="56" t="s">
        <v>0</v>
      </c>
      <c r="N22" s="9" t="s">
        <v>0</v>
      </c>
      <c r="O22" s="9" t="s">
        <v>0</v>
      </c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54"/>
      <c r="B23" s="63" t="s">
        <v>0</v>
      </c>
      <c r="C23" s="54" t="s">
        <v>0</v>
      </c>
      <c r="D23" s="27">
        <f>IF(D20="n",J18,J18*12/39.37)</f>
        <v>39.2614617977528</v>
      </c>
      <c r="E23" s="20" t="str">
        <f>IF(D20="n","ft","meters")</f>
        <v>ft</v>
      </c>
      <c r="F23" s="58"/>
      <c r="G23" s="54"/>
      <c r="H23" s="54"/>
      <c r="I23" s="54"/>
      <c r="J23" s="52">
        <f>F32</f>
        <v>-0.001</v>
      </c>
      <c r="K23" s="54"/>
      <c r="L23" s="1"/>
      <c r="M23" s="9" t="s">
        <v>0</v>
      </c>
      <c r="N23" s="9" t="s">
        <v>0</v>
      </c>
      <c r="O23" s="55" t="s">
        <v>0</v>
      </c>
      <c r="P23" s="9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54"/>
      <c r="B24" s="61" t="s">
        <v>0</v>
      </c>
      <c r="C24" s="93" t="s">
        <v>0</v>
      </c>
      <c r="D24" s="63" t="s">
        <v>0</v>
      </c>
      <c r="E24" s="62" t="s">
        <v>0</v>
      </c>
      <c r="F24" s="58"/>
      <c r="G24" s="54"/>
      <c r="H24" s="54"/>
      <c r="I24" s="54"/>
      <c r="J24" s="94">
        <f>IF(F13=1,0.002,0)</f>
        <v>0</v>
      </c>
      <c r="K24" s="54"/>
      <c r="L24" s="1"/>
      <c r="M24" s="9" t="s">
        <v>0</v>
      </c>
      <c r="N24" s="9" t="s">
        <v>0</v>
      </c>
      <c r="O24" s="9"/>
      <c r="P24" s="9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54"/>
      <c r="B25" s="95" t="s">
        <v>0</v>
      </c>
      <c r="C25" s="63" t="s">
        <v>0</v>
      </c>
      <c r="D25" s="54"/>
      <c r="E25" s="54"/>
      <c r="F25" s="58"/>
      <c r="G25" s="54"/>
      <c r="H25" s="54"/>
      <c r="I25" s="54" t="s">
        <v>0</v>
      </c>
      <c r="J25" s="94">
        <f>IF(E10=1,0.005,0)</f>
        <v>0</v>
      </c>
      <c r="K25" s="54"/>
      <c r="L25" s="1"/>
      <c r="M25" s="1"/>
      <c r="N25" s="9"/>
      <c r="O25" s="9"/>
      <c r="P25" s="9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54"/>
      <c r="B26" s="96" t="s">
        <v>0</v>
      </c>
      <c r="C26" s="96" t="s">
        <v>0</v>
      </c>
      <c r="D26" s="54"/>
      <c r="E26" s="54"/>
      <c r="F26" s="58"/>
      <c r="G26" s="54"/>
      <c r="H26" s="20" t="s">
        <v>2</v>
      </c>
      <c r="I26" s="54"/>
      <c r="J26" s="97">
        <f>IF(F13=3,-0.005,0)</f>
        <v>0</v>
      </c>
      <c r="K26" s="54"/>
      <c r="L26" s="1"/>
      <c r="M26" s="1"/>
      <c r="N26" s="1"/>
      <c r="O26" s="3" t="s">
        <v>3</v>
      </c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54"/>
      <c r="B27" s="54"/>
      <c r="C27" s="20" t="s">
        <v>4</v>
      </c>
      <c r="D27" s="54"/>
      <c r="E27" s="54"/>
      <c r="F27" s="20" t="str">
        <f>IF(D20="n","35 to 50 ft above ground","10 to 16 meters above ground")</f>
        <v>35 to 50 ft above ground</v>
      </c>
      <c r="G27" s="54"/>
      <c r="H27" s="54"/>
      <c r="I27" s="54"/>
      <c r="J27" s="98">
        <f>IF(F13=2,-0.001,0)</f>
        <v>-0.001</v>
      </c>
      <c r="K27" s="54"/>
      <c r="L27" s="1"/>
      <c r="M27" s="1"/>
      <c r="N27" s="7" t="s">
        <v>4</v>
      </c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54"/>
      <c r="B28" s="54"/>
      <c r="C28" s="53"/>
      <c r="D28" s="54"/>
      <c r="E28" s="54"/>
      <c r="F28" s="20" t="s">
        <v>0</v>
      </c>
      <c r="G28" s="54"/>
      <c r="H28" s="28">
        <v>35</v>
      </c>
      <c r="I28" s="99" t="s">
        <v>11</v>
      </c>
      <c r="J28" s="100">
        <f>H28*12/39.37</f>
        <v>10.668021336042672</v>
      </c>
      <c r="K28" s="99" t="s">
        <v>12</v>
      </c>
      <c r="L28" s="101" t="s">
        <v>0</v>
      </c>
      <c r="M28" s="1" t="s">
        <v>0</v>
      </c>
      <c r="N28" s="1"/>
      <c r="O28" s="3" t="s">
        <v>0</v>
      </c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>
      <c r="A29" s="54"/>
      <c r="B29" s="54"/>
      <c r="C29" s="53" t="s">
        <v>3</v>
      </c>
      <c r="D29" s="54"/>
      <c r="E29" s="54" t="s">
        <v>0</v>
      </c>
      <c r="F29" s="58"/>
      <c r="G29" s="54"/>
      <c r="H29" s="102">
        <v>8</v>
      </c>
      <c r="I29" s="99" t="s">
        <v>11</v>
      </c>
      <c r="J29" s="100">
        <f>H29*12/39.37</f>
        <v>2.438404876809754</v>
      </c>
      <c r="K29" s="99" t="s">
        <v>12</v>
      </c>
      <c r="L29" s="7" t="s">
        <v>0</v>
      </c>
      <c r="M29" s="1"/>
      <c r="N29" s="1"/>
      <c r="O29" s="3" t="s">
        <v>0</v>
      </c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>
      <c r="A30" s="54"/>
      <c r="B30" s="54"/>
      <c r="C30" s="53"/>
      <c r="D30" s="54"/>
      <c r="E30" s="54" t="s">
        <v>0</v>
      </c>
      <c r="F30" s="58"/>
      <c r="G30" s="54"/>
      <c r="H30" s="103">
        <v>15</v>
      </c>
      <c r="I30" s="99" t="s">
        <v>11</v>
      </c>
      <c r="J30" s="100">
        <f>H30*12/39.37</f>
        <v>4.572009144018288</v>
      </c>
      <c r="K30" s="99" t="s">
        <v>12</v>
      </c>
      <c r="L30" s="7" t="s">
        <v>0</v>
      </c>
      <c r="M30" s="1"/>
      <c r="N30" s="1"/>
      <c r="O30" s="1"/>
      <c r="P30" s="5" t="s">
        <v>0</v>
      </c>
      <c r="Q30" s="1"/>
      <c r="R30" s="1"/>
      <c r="S30" s="1"/>
      <c r="T30" s="1"/>
      <c r="U30" s="1"/>
      <c r="V30" s="1"/>
      <c r="W30" s="1"/>
      <c r="X30" s="1"/>
    </row>
    <row r="31" spans="1:24" ht="12.75" customHeight="1" thickBot="1">
      <c r="A31" s="54"/>
      <c r="B31" s="65"/>
      <c r="C31" s="64"/>
      <c r="D31" s="104" t="str">
        <f>IF(D20="n","10 to 20 ft above ground","3 to 5 meters above ground")</f>
        <v>10 to 20 ft above ground</v>
      </c>
      <c r="E31" s="65"/>
      <c r="F31" s="65"/>
      <c r="G31" s="65"/>
      <c r="H31" s="31">
        <v>6</v>
      </c>
      <c r="I31" s="31">
        <v>9</v>
      </c>
      <c r="J31" s="31">
        <v>30</v>
      </c>
      <c r="K31" s="31">
        <v>50</v>
      </c>
      <c r="L31" s="105" t="str">
        <f>IF(D20="n","8 to 15 ft above ground","2.5 to 5 meters above ground")</f>
        <v>8 to 15 ft above ground</v>
      </c>
      <c r="M31" s="16"/>
      <c r="N31" s="1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>
      <c r="A32" s="1"/>
      <c r="B32" s="1"/>
      <c r="C32" s="8" t="s">
        <v>0</v>
      </c>
      <c r="D32" s="1"/>
      <c r="E32" s="1"/>
      <c r="F32" s="10">
        <f>HLOOKUP(F12,H31:K32,2)</f>
        <v>-0.001</v>
      </c>
      <c r="G32" s="9"/>
      <c r="H32" s="10">
        <v>-0.04</v>
      </c>
      <c r="I32" s="10">
        <v>-0.03</v>
      </c>
      <c r="J32" s="10">
        <v>-0.001</v>
      </c>
      <c r="K32" s="10">
        <v>-0.003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>
      <c r="A33" s="1"/>
      <c r="B33" s="7" t="s">
        <v>43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7" t="s">
        <v>53</v>
      </c>
      <c r="P33" s="7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1"/>
      <c r="B34" s="7" t="s">
        <v>65</v>
      </c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7" t="s">
        <v>54</v>
      </c>
      <c r="P34" s="7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1"/>
      <c r="B35" s="7" t="s">
        <v>66</v>
      </c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4" t="s">
        <v>55</v>
      </c>
      <c r="P35" s="106">
        <v>0.00289</v>
      </c>
      <c r="Q35" s="1"/>
      <c r="R35" s="1"/>
      <c r="S35" s="1"/>
      <c r="T35" s="1"/>
      <c r="U35" s="1"/>
      <c r="V35" s="1"/>
      <c r="W35" s="1"/>
      <c r="X35" s="1"/>
    </row>
    <row r="36" spans="1:24" ht="12.75" customHeight="1">
      <c r="A36" s="1"/>
      <c r="B36" s="7" t="s">
        <v>26</v>
      </c>
      <c r="C36" s="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1"/>
      <c r="B37" s="7" t="s">
        <v>44</v>
      </c>
      <c r="C37" s="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1"/>
      <c r="B38" s="7" t="s">
        <v>45</v>
      </c>
      <c r="C38" s="7"/>
      <c r="D38" s="1"/>
      <c r="E38" s="1"/>
      <c r="F38" s="107" t="s">
        <v>14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 thickBot="1">
      <c r="A39" s="1"/>
      <c r="B39" s="7" t="s">
        <v>48</v>
      </c>
      <c r="C39" s="7"/>
      <c r="D39" s="1"/>
      <c r="E39" s="1"/>
      <c r="F39" s="10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thickBot="1">
      <c r="A40" s="109" t="s">
        <v>49</v>
      </c>
      <c r="B40" s="7"/>
      <c r="C40" s="7"/>
      <c r="D40" s="1"/>
      <c r="E40" s="1"/>
      <c r="F40" s="108"/>
      <c r="G40" s="1"/>
      <c r="H40" s="1"/>
      <c r="I40" s="1"/>
      <c r="J40" s="1"/>
      <c r="K40" s="145">
        <v>3.56</v>
      </c>
      <c r="L40" s="7" t="s">
        <v>9</v>
      </c>
      <c r="M40" s="66">
        <f>IF(E$10=2,(B$18/K40)*C$18,(B$18/K40)*C$19)/12</f>
        <v>135.85280898876402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thickBot="1">
      <c r="A41" s="110" t="s">
        <v>46</v>
      </c>
      <c r="B41" s="1"/>
      <c r="C41" s="6" t="str">
        <f>IF(C28&lt;K40,"Add to antenna","Subtract from antenna")</f>
        <v>Add to antenna</v>
      </c>
      <c r="D41" s="111">
        <f>IF(C45&lt;K40,H42-M40,H42-M40)*12</f>
        <v>0</v>
      </c>
      <c r="E41" s="7" t="s">
        <v>39</v>
      </c>
      <c r="F41" s="7"/>
      <c r="G41" s="7"/>
      <c r="H41" s="112">
        <f>M5+(D41/12)</f>
        <v>135.85280898876402</v>
      </c>
      <c r="I41" s="113">
        <f>H41*F14</f>
        <v>39.2614617977528</v>
      </c>
      <c r="J41" s="109" t="s">
        <v>34</v>
      </c>
      <c r="K41" s="114">
        <f>H41-I41</f>
        <v>96.59134719101122</v>
      </c>
      <c r="L41" s="109" t="s">
        <v>33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1"/>
      <c r="B42" s="115" t="s">
        <v>50</v>
      </c>
      <c r="C42" s="1"/>
      <c r="D42" s="1"/>
      <c r="E42" s="1"/>
      <c r="F42" s="1"/>
      <c r="G42" s="6" t="s">
        <v>38</v>
      </c>
      <c r="H42" s="116">
        <f>H16</f>
        <v>135.85280898876402</v>
      </c>
      <c r="I42" s="117">
        <f>K16</f>
        <v>39.2614617977528</v>
      </c>
      <c r="J42" s="7" t="s">
        <v>34</v>
      </c>
      <c r="K42" s="118">
        <f>K22</f>
        <v>96.59134719101122</v>
      </c>
      <c r="L42" s="7" t="s">
        <v>33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1"/>
      <c r="C43" s="1"/>
      <c r="D43" s="1"/>
      <c r="E43" s="1"/>
      <c r="F43" s="1"/>
      <c r="G43" s="6"/>
      <c r="H43" s="116"/>
      <c r="I43" s="117"/>
      <c r="J43" s="7"/>
      <c r="K43" s="118"/>
      <c r="L43" s="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thickBot="1">
      <c r="A44" s="15" t="s">
        <v>57</v>
      </c>
      <c r="B44" s="12"/>
      <c r="C44" s="43"/>
      <c r="D44" s="12"/>
      <c r="E44" s="12"/>
      <c r="F44" s="12"/>
      <c r="G44" s="12"/>
      <c r="H44" s="12"/>
      <c r="I44" s="12"/>
      <c r="J44" s="12"/>
      <c r="K44" s="1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thickBot="1">
      <c r="A45" s="119" t="s">
        <v>0</v>
      </c>
      <c r="B45" s="120" t="s">
        <v>51</v>
      </c>
      <c r="C45" s="121">
        <f>E9</f>
        <v>3.56</v>
      </c>
      <c r="D45" s="43"/>
      <c r="E45" s="12"/>
      <c r="F45" s="12"/>
      <c r="G45" s="12"/>
      <c r="H45" s="44"/>
      <c r="I45" s="17"/>
      <c r="J45" s="122"/>
      <c r="K45" s="1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thickBot="1">
      <c r="A46" s="123" t="s">
        <v>47</v>
      </c>
      <c r="B46" s="124" t="s">
        <v>27</v>
      </c>
      <c r="C46" s="125" t="s">
        <v>10</v>
      </c>
      <c r="D46" s="126" t="s">
        <v>0</v>
      </c>
      <c r="E46" s="126" t="s">
        <v>0</v>
      </c>
      <c r="F46" s="127" t="s">
        <v>0</v>
      </c>
      <c r="G46" s="126" t="s">
        <v>0</v>
      </c>
      <c r="H46" s="128" t="s">
        <v>0</v>
      </c>
      <c r="I46" s="129" t="s">
        <v>0</v>
      </c>
      <c r="J46" s="126" t="s">
        <v>0</v>
      </c>
      <c r="K46" s="130" t="s">
        <v>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31" t="s">
        <v>0</v>
      </c>
      <c r="B47" s="47">
        <v>3.56</v>
      </c>
      <c r="C47" s="46">
        <v>1.1</v>
      </c>
      <c r="D47" s="10"/>
      <c r="E47" s="10"/>
      <c r="F47" s="10"/>
      <c r="G47" s="10"/>
      <c r="H47" s="10"/>
      <c r="I47" s="10"/>
      <c r="J47" s="10"/>
      <c r="K47" s="1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32" t="s">
        <v>0</v>
      </c>
      <c r="B48" s="48">
        <v>7.12</v>
      </c>
      <c r="C48" s="49">
        <v>1.1</v>
      </c>
      <c r="D48" s="10"/>
      <c r="E48" s="10"/>
      <c r="F48" s="10"/>
      <c r="G48" s="10"/>
      <c r="H48" s="10"/>
      <c r="I48" s="10"/>
      <c r="J48" s="10"/>
      <c r="K48" s="1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33" t="s">
        <v>0</v>
      </c>
      <c r="B49" s="48">
        <v>14.2</v>
      </c>
      <c r="C49" s="49">
        <v>1</v>
      </c>
      <c r="D49" s="10"/>
      <c r="E49" s="10"/>
      <c r="F49" s="10"/>
      <c r="G49" s="10"/>
      <c r="H49" s="10"/>
      <c r="I49" s="10"/>
      <c r="J49" s="10"/>
      <c r="K49" s="1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33" t="s">
        <v>0</v>
      </c>
      <c r="B50" s="48">
        <v>18.1</v>
      </c>
      <c r="C50" s="49">
        <v>1.7</v>
      </c>
      <c r="D50" s="10"/>
      <c r="E50" s="10"/>
      <c r="F50" s="10"/>
      <c r="G50" s="10"/>
      <c r="H50" s="10"/>
      <c r="I50" s="10"/>
      <c r="J50" s="10"/>
      <c r="K50" s="1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34" t="s">
        <v>0</v>
      </c>
      <c r="B51" s="48">
        <v>21.3</v>
      </c>
      <c r="C51" s="49">
        <v>1.4</v>
      </c>
      <c r="D51" s="10"/>
      <c r="E51" s="10"/>
      <c r="F51" s="10"/>
      <c r="G51" s="10"/>
      <c r="H51" s="10"/>
      <c r="I51" s="10"/>
      <c r="J51" s="10"/>
      <c r="K51" s="1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35" t="s">
        <v>0</v>
      </c>
      <c r="B52" s="48">
        <v>28.4</v>
      </c>
      <c r="C52" s="49">
        <v>1</v>
      </c>
      <c r="D52" s="10"/>
      <c r="E52" s="10"/>
      <c r="F52" s="10"/>
      <c r="G52" s="10"/>
      <c r="H52" s="10"/>
      <c r="I52" s="10"/>
      <c r="J52" s="10"/>
      <c r="K52" s="1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34" t="s">
        <v>0</v>
      </c>
      <c r="B53" s="48">
        <v>53.4</v>
      </c>
      <c r="C53" s="49">
        <v>1.2</v>
      </c>
      <c r="D53" s="10"/>
      <c r="E53" s="10"/>
      <c r="F53" s="10"/>
      <c r="G53" s="10"/>
      <c r="H53" s="10"/>
      <c r="I53" s="10"/>
      <c r="J53" s="10"/>
      <c r="K53" s="1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34" t="s">
        <v>0</v>
      </c>
      <c r="B54" s="48" t="s">
        <v>0</v>
      </c>
      <c r="C54" s="49" t="s">
        <v>0</v>
      </c>
      <c r="D54" s="10"/>
      <c r="E54" s="10"/>
      <c r="F54" s="10"/>
      <c r="G54" s="10"/>
      <c r="H54" s="10"/>
      <c r="I54" s="10"/>
      <c r="J54" s="10"/>
      <c r="K54" s="1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33"/>
      <c r="B55" s="48" t="s">
        <v>0</v>
      </c>
      <c r="C55" s="49" t="s">
        <v>0</v>
      </c>
      <c r="D55" s="10"/>
      <c r="E55" s="10"/>
      <c r="F55" s="10"/>
      <c r="G55" s="10"/>
      <c r="H55" s="10"/>
      <c r="I55" s="10"/>
      <c r="J55" s="10"/>
      <c r="K55" s="1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thickBot="1">
      <c r="A56" s="133"/>
      <c r="B56" s="50" t="s">
        <v>0</v>
      </c>
      <c r="C56" s="51" t="s">
        <v>0</v>
      </c>
      <c r="D56" s="10"/>
      <c r="E56" s="10"/>
      <c r="F56" s="10"/>
      <c r="G56" s="10"/>
      <c r="H56" s="10"/>
      <c r="I56" s="10"/>
      <c r="J56" s="10"/>
      <c r="K56" s="1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54" t="s">
        <v>0</v>
      </c>
      <c r="B57" s="136"/>
      <c r="C57" s="137" t="s">
        <v>0</v>
      </c>
      <c r="D57" s="54" t="s">
        <v>0</v>
      </c>
      <c r="E57" s="10"/>
      <c r="F57" s="10"/>
      <c r="G57" s="10"/>
      <c r="H57" s="10"/>
      <c r="I57" s="10" t="s">
        <v>0</v>
      </c>
      <c r="J57" s="10" t="s">
        <v>0</v>
      </c>
      <c r="K57" s="138" t="s">
        <v>0</v>
      </c>
      <c r="L57" s="7"/>
      <c r="M57" s="7"/>
      <c r="N57" s="7"/>
      <c r="O57" s="7"/>
      <c r="P57" s="7"/>
      <c r="Q57" s="1"/>
      <c r="R57" s="6" t="s">
        <v>52</v>
      </c>
      <c r="S57" s="1"/>
      <c r="T57" s="1"/>
      <c r="U57" s="1"/>
      <c r="V57" s="1"/>
      <c r="W57" s="1"/>
      <c r="X57" s="1"/>
    </row>
    <row r="58" spans="1:24" ht="12.75" customHeight="1">
      <c r="A58" s="139" t="s">
        <v>0</v>
      </c>
      <c r="B58" s="4" t="s">
        <v>0</v>
      </c>
      <c r="C58" s="140" t="s">
        <v>0</v>
      </c>
      <c r="D58" s="141" t="s">
        <v>0</v>
      </c>
      <c r="E58" s="4" t="s">
        <v>0</v>
      </c>
      <c r="F58" s="4"/>
      <c r="G58" s="4"/>
      <c r="H58" s="142" t="s">
        <v>0</v>
      </c>
      <c r="I58" s="143" t="s">
        <v>0</v>
      </c>
      <c r="J58" s="4" t="s">
        <v>0</v>
      </c>
      <c r="K58" s="144" t="s">
        <v>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</sheetData>
  <sheetProtection password="C5A4" sheet="1" objects="1" scenarios="1"/>
  <hyperlinks>
    <hyperlink ref="F38" r:id="rId1" display="http://www.balundesigns.com"/>
  </hyperlinks>
  <printOptions horizontalCentered="1"/>
  <pageMargins left="0.25" right="0.25" top="0.25" bottom="0.25" header="0.5" footer="0.52"/>
  <pageSetup horizontalDpi="600" verticalDpi="600" orientation="landscape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wally none</dc:creator>
  <cp:keywords/>
  <dc:description/>
  <cp:lastModifiedBy> wally Lau</cp:lastModifiedBy>
  <cp:lastPrinted>2013-12-23T00:15:47Z</cp:lastPrinted>
  <dcterms:created xsi:type="dcterms:W3CDTF">2009-06-03T12:24:44Z</dcterms:created>
  <dcterms:modified xsi:type="dcterms:W3CDTF">2013-12-23T00:17:12Z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